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ssage\Documents\PKO BP\tab\tabels\tab\not31\"/>
    </mc:Choice>
  </mc:AlternateContent>
  <bookViews>
    <workbookView xWindow="0" yWindow="0" windowWidth="24000" windowHeight="9510"/>
  </bookViews>
  <sheets>
    <sheet name="Arkusz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C38" i="1"/>
  <c r="B38" i="1"/>
  <c r="G37" i="1"/>
  <c r="C37" i="1"/>
  <c r="H36" i="1"/>
  <c r="H35" i="1"/>
  <c r="H34" i="1"/>
  <c r="E33" i="1"/>
  <c r="C33" i="1"/>
  <c r="B33" i="1"/>
  <c r="H33" i="1" s="1"/>
  <c r="H32" i="1" s="1"/>
  <c r="G32" i="1"/>
  <c r="F32" i="1"/>
  <c r="E32" i="1"/>
  <c r="D32" i="1"/>
  <c r="C32" i="1"/>
  <c r="H31" i="1"/>
  <c r="H30" i="1" s="1"/>
  <c r="G30" i="1"/>
  <c r="F30" i="1"/>
  <c r="E30" i="1"/>
  <c r="E37" i="1" s="1"/>
  <c r="D30" i="1"/>
  <c r="C30" i="1"/>
  <c r="B30" i="1"/>
  <c r="H29" i="1"/>
  <c r="H37" i="1" s="1"/>
  <c r="G29" i="1"/>
  <c r="G38" i="1" s="1"/>
  <c r="F29" i="1"/>
  <c r="F37" i="1" s="1"/>
  <c r="D29" i="1"/>
  <c r="D37" i="1" s="1"/>
  <c r="H27" i="1"/>
  <c r="G26" i="1"/>
  <c r="D26" i="1"/>
  <c r="C26" i="1"/>
  <c r="B26" i="1"/>
  <c r="H26" i="1" s="1"/>
  <c r="G25" i="1"/>
  <c r="D25" i="1"/>
  <c r="C25" i="1"/>
  <c r="C22" i="1" s="1"/>
  <c r="B25" i="1"/>
  <c r="H25" i="1" s="1"/>
  <c r="B24" i="1"/>
  <c r="H24" i="1" s="1"/>
  <c r="H23" i="1"/>
  <c r="G23" i="1"/>
  <c r="C23" i="1"/>
  <c r="B23" i="1"/>
  <c r="G22" i="1"/>
  <c r="F22" i="1"/>
  <c r="E22" i="1"/>
  <c r="D22" i="1"/>
  <c r="D28" i="1" s="1"/>
  <c r="G21" i="1"/>
  <c r="G17" i="1" s="1"/>
  <c r="G28" i="1" s="1"/>
  <c r="F21" i="1"/>
  <c r="D21" i="1"/>
  <c r="B21" i="1"/>
  <c r="H21" i="1" s="1"/>
  <c r="H20" i="1"/>
  <c r="C20" i="1"/>
  <c r="C21" i="1" s="1"/>
  <c r="C19" i="1"/>
  <c r="H19" i="1" s="1"/>
  <c r="H18" i="1"/>
  <c r="F17" i="1"/>
  <c r="F28" i="1" s="1"/>
  <c r="E17" i="1"/>
  <c r="D17" i="1"/>
  <c r="B17" i="1"/>
  <c r="H16" i="1"/>
  <c r="E16" i="1"/>
  <c r="E38" i="1" s="1"/>
  <c r="G14" i="1"/>
  <c r="E14" i="1"/>
  <c r="C14" i="1"/>
  <c r="H14" i="1" s="1"/>
  <c r="G13" i="1"/>
  <c r="F13" i="1"/>
  <c r="F8" i="1" s="1"/>
  <c r="E13" i="1"/>
  <c r="E8" i="1" s="1"/>
  <c r="D13" i="1"/>
  <c r="C13" i="1"/>
  <c r="B13" i="1"/>
  <c r="B8" i="1" s="1"/>
  <c r="H12" i="1"/>
  <c r="F12" i="1"/>
  <c r="B11" i="1"/>
  <c r="H11" i="1" s="1"/>
  <c r="G10" i="1"/>
  <c r="E10" i="1"/>
  <c r="D10" i="1"/>
  <c r="D8" i="1" s="1"/>
  <c r="C10" i="1"/>
  <c r="H10" i="1" s="1"/>
  <c r="B10" i="1"/>
  <c r="G9" i="1"/>
  <c r="C9" i="1"/>
  <c r="H9" i="1" s="1"/>
  <c r="B9" i="1"/>
  <c r="G8" i="1"/>
  <c r="G15" i="1" s="1"/>
  <c r="G39" i="1" s="1"/>
  <c r="C8" i="1"/>
  <c r="C15" i="1" s="1"/>
  <c r="G7" i="1"/>
  <c r="F7" i="1"/>
  <c r="E7" i="1"/>
  <c r="C7" i="1"/>
  <c r="H7" i="1" s="1"/>
  <c r="H6" i="1"/>
  <c r="D6" i="1"/>
  <c r="D7" i="1" s="1"/>
  <c r="C6" i="1"/>
  <c r="B6" i="1"/>
  <c r="F5" i="1"/>
  <c r="E5" i="1"/>
  <c r="C5" i="1"/>
  <c r="B5" i="1"/>
  <c r="H5" i="1" s="1"/>
  <c r="H4" i="1"/>
  <c r="G3" i="1"/>
  <c r="F3" i="1"/>
  <c r="F15" i="1" s="1"/>
  <c r="F39" i="1" s="1"/>
  <c r="E3" i="1"/>
  <c r="E15" i="1" s="1"/>
  <c r="C3" i="1"/>
  <c r="B3" i="1"/>
  <c r="H2" i="1"/>
  <c r="B15" i="1" l="1"/>
  <c r="H3" i="1"/>
  <c r="H22" i="1"/>
  <c r="H17" i="1"/>
  <c r="C17" i="1"/>
  <c r="C28" i="1" s="1"/>
  <c r="C39" i="1" s="1"/>
  <c r="E28" i="1"/>
  <c r="E39" i="1" s="1"/>
  <c r="B32" i="1"/>
  <c r="B37" i="1" s="1"/>
  <c r="D3" i="1"/>
  <c r="D15" i="1" s="1"/>
  <c r="D39" i="1" s="1"/>
  <c r="H13" i="1"/>
  <c r="H8" i="1" s="1"/>
  <c r="H15" i="1" s="1"/>
  <c r="B22" i="1"/>
  <c r="B28" i="1" s="1"/>
  <c r="F38" i="1"/>
  <c r="H38" i="1" s="1"/>
  <c r="H28" i="1" l="1"/>
  <c r="B39" i="1"/>
  <c r="H39" i="1" s="1"/>
</calcChain>
</file>

<file path=xl/sharedStrings.xml><?xml version="1.0" encoding="utf-8"?>
<sst xmlns="http://schemas.openxmlformats.org/spreadsheetml/2006/main" count="46" uniqueCount="32">
  <si>
    <t>For the year ended 31 December 2014</t>
  </si>
  <si>
    <t>Land and buildings</t>
  </si>
  <si>
    <t>Machinery and equipment</t>
  </si>
  <si>
    <t>Means of transport</t>
  </si>
  <si>
    <t>Assets under construction</t>
  </si>
  <si>
    <t>Investment properties</t>
  </si>
  <si>
    <t>Other</t>
  </si>
  <si>
    <t>Total</t>
  </si>
  <si>
    <t>Gross value of tangible fixed assets at the beginning of the period</t>
  </si>
  <si>
    <t>Increases, of which:</t>
  </si>
  <si>
    <t>take of control over subsidiaries</t>
  </si>
  <si>
    <t>purchase and other changes</t>
  </si>
  <si>
    <t>classification from non-current assets held for sale</t>
  </si>
  <si>
    <t>other</t>
  </si>
  <si>
    <t>Decreases, of which:</t>
  </si>
  <si>
    <t>disposal and sale</t>
  </si>
  <si>
    <t>currency translation differences</t>
  </si>
  <si>
    <t>classification to non-current assets held for sale</t>
  </si>
  <si>
    <t>classification to inventories</t>
  </si>
  <si>
    <t>Transfers from capital expenditures to tangible fixed assets</t>
  </si>
  <si>
    <t>Gross value of tangible fixed assets at the end of the period</t>
  </si>
  <si>
    <t>Accumulated depreciation at the beginning of the period</t>
  </si>
  <si>
    <t>depreciation for the period</t>
  </si>
  <si>
    <t>Transfers from tangible assets to assets held for sale</t>
  </si>
  <si>
    <t>Accumulated depreciation at the end of the period</t>
  </si>
  <si>
    <t>Impairment allowances at the beginning of the period</t>
  </si>
  <si>
    <t>recognised during the period</t>
  </si>
  <si>
    <t>released during the period</t>
  </si>
  <si>
    <t>write-down of assets</t>
  </si>
  <si>
    <t>Impairment allowances at the end of the period</t>
  </si>
  <si>
    <t>Net carrying amount at the beginning of the period</t>
  </si>
  <si>
    <t>Net carrying amount at the end of the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</si>
</sst>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color indexed="8"/>
      <name val="PKO Bank Polski"/>
      <family val="2"/>
      <charset val="238"/>
    </font>
    <font>
      <sz val="8"/>
      <color indexed="8"/>
      <name val="PKO Bank Polski"/>
      <family val="2"/>
      <charset val="238"/>
    </font>
    <font>
      <sz val="8"/>
      <name val="PKO Bank Polski"/>
      <family val="2"/>
      <charset val="238"/>
    </font>
    <font>
      <b/>
      <sz val="8"/>
      <color rgb="FFFF0000"/>
      <name val="PKO Bank Polsk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1" xfId="1" applyFont="1" applyFill="1" applyBorder="1" applyAlignment="1">
      <alignment horizontal="left" vertical="center" wrapText="1"/>
    </xf>
    <xf numFmtId="164" fontId="3" fillId="0" borderId="2" xfId="1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 indent="1"/>
    </xf>
    <xf numFmtId="164" fontId="3" fillId="0" borderId="2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>
      <alignment horizontal="left" vertical="center" wrapText="1" inden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vertical="center" wrapText="1"/>
    </xf>
    <xf numFmtId="164" fontId="5" fillId="0" borderId="4" xfId="0" applyNumberFormat="1" applyFont="1" applyFill="1" applyBorder="1" applyAlignment="1">
      <alignment horizontal="right" vertical="center" wrapText="1"/>
    </xf>
  </cellXfs>
  <cellStyles count="2">
    <cellStyle name="Normalny" xfId="0" builtinId="0"/>
    <cellStyle name="Normalny 2 2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/>
  </sheetViews>
  <sheetFormatPr defaultRowHeight="15"/>
  <cols>
    <col min="1" max="1" width="31" customWidth="1"/>
    <col min="2" max="2" width="18.140625" customWidth="1"/>
    <col min="3" max="3" width="15.28515625" customWidth="1"/>
    <col min="4" max="4" width="14.42578125" customWidth="1"/>
    <col min="5" max="5" width="15.5703125" customWidth="1"/>
    <col min="6" max="6" width="12.42578125" customWidth="1"/>
    <col min="7" max="7" width="12.85546875" customWidth="1"/>
  </cols>
  <sheetData>
    <row r="1" spans="1:8" ht="23.25" thickTop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2.5">
      <c r="A2" s="2" t="s">
        <v>8</v>
      </c>
      <c r="B2" s="3">
        <v>2521878</v>
      </c>
      <c r="C2" s="3">
        <v>2056907</v>
      </c>
      <c r="D2" s="3">
        <v>102115</v>
      </c>
      <c r="E2" s="3">
        <v>145435</v>
      </c>
      <c r="F2" s="3">
        <v>114605</v>
      </c>
      <c r="G2" s="3">
        <v>530807</v>
      </c>
      <c r="H2" s="3">
        <f>SUM(B2:G2)</f>
        <v>5471747</v>
      </c>
    </row>
    <row r="3" spans="1:8">
      <c r="A3" s="4" t="s">
        <v>9</v>
      </c>
      <c r="B3" s="3">
        <f t="shared" ref="B3:H3" si="0">SUM(B4:B7)</f>
        <v>326886</v>
      </c>
      <c r="C3" s="3">
        <f t="shared" si="0"/>
        <v>83505</v>
      </c>
      <c r="D3" s="3">
        <f t="shared" si="0"/>
        <v>30034</v>
      </c>
      <c r="E3" s="3">
        <f t="shared" si="0"/>
        <v>290753</v>
      </c>
      <c r="F3" s="3">
        <f t="shared" si="0"/>
        <v>106326</v>
      </c>
      <c r="G3" s="3">
        <f t="shared" si="0"/>
        <v>55213</v>
      </c>
      <c r="H3" s="3">
        <f t="shared" si="0"/>
        <v>892717</v>
      </c>
    </row>
    <row r="4" spans="1:8">
      <c r="A4" s="5" t="s">
        <v>10</v>
      </c>
      <c r="B4" s="3">
        <v>299832</v>
      </c>
      <c r="C4" s="3">
        <v>69829</v>
      </c>
      <c r="D4" s="3">
        <v>1859</v>
      </c>
      <c r="E4" s="3">
        <v>1629</v>
      </c>
      <c r="F4" s="3">
        <v>63652</v>
      </c>
      <c r="G4" s="3">
        <v>48569</v>
      </c>
      <c r="H4" s="3">
        <f>SUM(B4:G4)</f>
        <v>485370</v>
      </c>
    </row>
    <row r="5" spans="1:8">
      <c r="A5" s="5" t="s">
        <v>11</v>
      </c>
      <c r="B5" s="3">
        <f>-4403+4536</f>
        <v>133</v>
      </c>
      <c r="C5" s="3">
        <f>24592-11139</f>
        <v>13453</v>
      </c>
      <c r="D5" s="3">
        <v>27915</v>
      </c>
      <c r="E5" s="3">
        <f>331654-6337-36467</f>
        <v>288850</v>
      </c>
      <c r="F5" s="3">
        <f>70998-28324</f>
        <v>42674</v>
      </c>
      <c r="G5" s="3">
        <v>6500</v>
      </c>
      <c r="H5" s="6">
        <f>SUM(B5:G5)</f>
        <v>379525</v>
      </c>
    </row>
    <row r="6" spans="1:8" ht="22.5">
      <c r="A6" s="7" t="s">
        <v>12</v>
      </c>
      <c r="B6" s="8">
        <f>1935+14470</f>
        <v>16405</v>
      </c>
      <c r="C6" s="8">
        <f>23+122</f>
        <v>145</v>
      </c>
      <c r="D6" s="8">
        <f>128</f>
        <v>128</v>
      </c>
      <c r="E6" s="8">
        <v>0</v>
      </c>
      <c r="F6" s="8">
        <v>0</v>
      </c>
      <c r="G6" s="8">
        <v>0</v>
      </c>
      <c r="H6" s="9">
        <f>SUM(B6:G6)</f>
        <v>16678</v>
      </c>
    </row>
    <row r="7" spans="1:8">
      <c r="A7" s="5" t="s">
        <v>13</v>
      </c>
      <c r="B7" s="3">
        <v>10516</v>
      </c>
      <c r="C7" s="3">
        <f>68273-C6-C4+1779</f>
        <v>78</v>
      </c>
      <c r="D7" s="3">
        <f>1399-D6-D4+720</f>
        <v>132</v>
      </c>
      <c r="E7" s="3">
        <f>1850-E6-E4+53</f>
        <v>274</v>
      </c>
      <c r="F7" s="3">
        <f>63652-F4-F6</f>
        <v>0</v>
      </c>
      <c r="G7" s="3">
        <f>46974-G6-G4+1739</f>
        <v>144</v>
      </c>
      <c r="H7" s="6">
        <f>SUM(B7:G7)</f>
        <v>11144</v>
      </c>
    </row>
    <row r="8" spans="1:8">
      <c r="A8" s="10" t="s">
        <v>14</v>
      </c>
      <c r="B8" s="3">
        <f>B9+B13+B10+B11</f>
        <v>-332879</v>
      </c>
      <c r="C8" s="3">
        <f t="shared" ref="C8:E8" si="1">C9+C13+C10+C11</f>
        <v>-235662</v>
      </c>
      <c r="D8" s="3">
        <f t="shared" si="1"/>
        <v>-5388</v>
      </c>
      <c r="E8" s="3">
        <f t="shared" si="1"/>
        <v>-8290</v>
      </c>
      <c r="F8" s="3">
        <f>F9+F13+F10+F11+F12</f>
        <v>-88142</v>
      </c>
      <c r="G8" s="3">
        <f t="shared" ref="G8" si="2">G9+G13+G10+G11</f>
        <v>-61456</v>
      </c>
      <c r="H8" s="3">
        <f>H9+H13+H10+H11+H12</f>
        <v>-751806</v>
      </c>
    </row>
    <row r="9" spans="1:8">
      <c r="A9" s="5" t="s">
        <v>15</v>
      </c>
      <c r="B9" s="3">
        <f>-37673+2298</f>
        <v>-35375</v>
      </c>
      <c r="C9" s="3">
        <f>-285235+85057</f>
        <v>-200178</v>
      </c>
      <c r="D9" s="3">
        <v>-1773</v>
      </c>
      <c r="E9" s="3">
        <v>0</v>
      </c>
      <c r="F9" s="3">
        <v>-8971</v>
      </c>
      <c r="G9" s="3">
        <f>-46729+1016</f>
        <v>-45713</v>
      </c>
      <c r="H9" s="6">
        <f t="shared" ref="H9:H14" si="3">SUM(B9:G9)</f>
        <v>-292010</v>
      </c>
    </row>
    <row r="10" spans="1:8">
      <c r="A10" s="5" t="s">
        <v>16</v>
      </c>
      <c r="B10" s="3">
        <f>-38121+1253+1</f>
        <v>-36867</v>
      </c>
      <c r="C10" s="3">
        <f>-30557+346-3</f>
        <v>-30214</v>
      </c>
      <c r="D10" s="3">
        <f>-2548+95</f>
        <v>-2453</v>
      </c>
      <c r="E10" s="3">
        <f>-4608+300</f>
        <v>-4308</v>
      </c>
      <c r="F10" s="3">
        <v>0</v>
      </c>
      <c r="G10" s="3">
        <f>-12978+465+2</f>
        <v>-12511</v>
      </c>
      <c r="H10" s="6">
        <f t="shared" si="3"/>
        <v>-86353</v>
      </c>
    </row>
    <row r="11" spans="1:8" ht="22.5">
      <c r="A11" s="5" t="s">
        <v>17</v>
      </c>
      <c r="B11" s="3">
        <f>-202949-14470-23228-19860</f>
        <v>-260507</v>
      </c>
      <c r="C11" s="3">
        <v>0</v>
      </c>
      <c r="D11" s="3">
        <v>0</v>
      </c>
      <c r="E11" s="3">
        <v>0</v>
      </c>
      <c r="F11" s="3">
        <v>0</v>
      </c>
      <c r="G11" s="3">
        <v>-72</v>
      </c>
      <c r="H11" s="6">
        <f t="shared" si="3"/>
        <v>-260579</v>
      </c>
    </row>
    <row r="12" spans="1:8">
      <c r="A12" s="5" t="s">
        <v>18</v>
      </c>
      <c r="B12" s="3">
        <v>0</v>
      </c>
      <c r="C12" s="3">
        <v>0</v>
      </c>
      <c r="D12" s="3">
        <v>-19989</v>
      </c>
      <c r="E12" s="3">
        <v>0</v>
      </c>
      <c r="F12" s="3">
        <f>-107495+28324</f>
        <v>-79171</v>
      </c>
      <c r="G12" s="3">
        <v>0</v>
      </c>
      <c r="H12" s="6">
        <f t="shared" si="3"/>
        <v>-99160</v>
      </c>
    </row>
    <row r="13" spans="1:8">
      <c r="A13" s="5" t="s">
        <v>13</v>
      </c>
      <c r="B13" s="8">
        <f>-19990+19860</f>
        <v>-130</v>
      </c>
      <c r="C13" s="8">
        <f>-3491-1779</f>
        <v>-5270</v>
      </c>
      <c r="D13" s="8">
        <f>-20431-720+19989</f>
        <v>-1162</v>
      </c>
      <c r="E13" s="8">
        <f>-15073+5-53+11139</f>
        <v>-3982</v>
      </c>
      <c r="F13" s="3">
        <f>-107495+107495</f>
        <v>0</v>
      </c>
      <c r="G13" s="3">
        <f>-1493-1739+72</f>
        <v>-3160</v>
      </c>
      <c r="H13" s="6">
        <f t="shared" si="3"/>
        <v>-13704</v>
      </c>
    </row>
    <row r="14" spans="1:8" ht="22.5">
      <c r="A14" s="10" t="s">
        <v>19</v>
      </c>
      <c r="B14" s="3">
        <v>58407</v>
      </c>
      <c r="C14" s="3">
        <f>143576-17047+11139</f>
        <v>137668</v>
      </c>
      <c r="D14" s="3">
        <v>0</v>
      </c>
      <c r="E14" s="3">
        <f>-264812+19100-11139</f>
        <v>-256851</v>
      </c>
      <c r="F14" s="3">
        <v>0</v>
      </c>
      <c r="G14" s="3">
        <f>62829-2053</f>
        <v>60776</v>
      </c>
      <c r="H14" s="6">
        <f t="shared" si="3"/>
        <v>0</v>
      </c>
    </row>
    <row r="15" spans="1:8" ht="22.5">
      <c r="A15" s="10" t="s">
        <v>20</v>
      </c>
      <c r="B15" s="3">
        <f t="shared" ref="B15:C15" si="4">B2+B3+B8+B14</f>
        <v>2574292</v>
      </c>
      <c r="C15" s="3">
        <f t="shared" si="4"/>
        <v>2042418</v>
      </c>
      <c r="D15" s="3">
        <f>D2+D3+D8+D14+D12</f>
        <v>106772</v>
      </c>
      <c r="E15" s="3">
        <f t="shared" ref="E15:H15" si="5">E2+E3+E8+E14</f>
        <v>171047</v>
      </c>
      <c r="F15" s="3">
        <f t="shared" si="5"/>
        <v>132789</v>
      </c>
      <c r="G15" s="3">
        <f t="shared" si="5"/>
        <v>585340</v>
      </c>
      <c r="H15" s="3">
        <f t="shared" si="5"/>
        <v>5612658</v>
      </c>
    </row>
    <row r="16" spans="1:8" ht="22.5">
      <c r="A16" s="10" t="s">
        <v>21</v>
      </c>
      <c r="B16" s="3">
        <v>-887122</v>
      </c>
      <c r="C16" s="3">
        <v>-1559677</v>
      </c>
      <c r="D16" s="3">
        <v>-26112</v>
      </c>
      <c r="E16" s="3">
        <f t="shared" ref="E16" si="6">E64</f>
        <v>0</v>
      </c>
      <c r="F16" s="3">
        <v>-16</v>
      </c>
      <c r="G16" s="3">
        <v>-375503</v>
      </c>
      <c r="H16" s="3">
        <f>B16+C16+D16+E16+F16+G16</f>
        <v>-2848430</v>
      </c>
    </row>
    <row r="17" spans="1:8">
      <c r="A17" s="10" t="s">
        <v>9</v>
      </c>
      <c r="B17" s="3">
        <f>SUM(B18:B21)</f>
        <v>-177168</v>
      </c>
      <c r="C17" s="3">
        <f t="shared" ref="C17:H17" si="7">SUM(C18:C21)</f>
        <v>-204553</v>
      </c>
      <c r="D17" s="3">
        <f t="shared" si="7"/>
        <v>-15289</v>
      </c>
      <c r="E17" s="3">
        <f t="shared" si="7"/>
        <v>0</v>
      </c>
      <c r="F17" s="3">
        <f t="shared" si="7"/>
        <v>-3080</v>
      </c>
      <c r="G17" s="3">
        <f t="shared" si="7"/>
        <v>-87685</v>
      </c>
      <c r="H17" s="3">
        <f t="shared" si="7"/>
        <v>-487775</v>
      </c>
    </row>
    <row r="18" spans="1:8">
      <c r="A18" s="5" t="s">
        <v>10</v>
      </c>
      <c r="B18" s="3">
        <v>-86467</v>
      </c>
      <c r="C18" s="3">
        <v>-42703</v>
      </c>
      <c r="D18" s="3">
        <v>-660</v>
      </c>
      <c r="E18" s="3">
        <v>0</v>
      </c>
      <c r="F18" s="3">
        <v>-1416</v>
      </c>
      <c r="G18" s="3">
        <v>-32998</v>
      </c>
      <c r="H18" s="3">
        <f>SUM(B18:G18)</f>
        <v>-164244</v>
      </c>
    </row>
    <row r="19" spans="1:8">
      <c r="A19" s="5" t="s">
        <v>22</v>
      </c>
      <c r="B19" s="3">
        <v>-90482</v>
      </c>
      <c r="C19" s="8">
        <f>-161590-5</f>
        <v>-161595</v>
      </c>
      <c r="D19" s="3">
        <v>-14581</v>
      </c>
      <c r="E19" s="3">
        <v>0</v>
      </c>
      <c r="F19" s="3">
        <v>-1664</v>
      </c>
      <c r="G19" s="3">
        <v>-51228</v>
      </c>
      <c r="H19" s="6">
        <f>SUM(B19:G19)</f>
        <v>-319550</v>
      </c>
    </row>
    <row r="20" spans="1:8" ht="22.5">
      <c r="A20" s="7" t="s">
        <v>12</v>
      </c>
      <c r="B20" s="8">
        <v>0</v>
      </c>
      <c r="C20" s="8">
        <f>-15-101</f>
        <v>-116</v>
      </c>
      <c r="D20" s="8">
        <v>-48</v>
      </c>
      <c r="E20" s="8">
        <v>0</v>
      </c>
      <c r="F20" s="8">
        <v>0</v>
      </c>
      <c r="G20" s="8">
        <v>0</v>
      </c>
      <c r="H20" s="9">
        <f>SUM(B20:G20)</f>
        <v>-164</v>
      </c>
    </row>
    <row r="21" spans="1:8">
      <c r="A21" s="5" t="s">
        <v>13</v>
      </c>
      <c r="B21" s="3">
        <f>-86686-B18</f>
        <v>-219</v>
      </c>
      <c r="C21" s="3">
        <f>-41571-C18-C20-1387</f>
        <v>-139</v>
      </c>
      <c r="D21" s="3">
        <f>-51-D20-D18-657</f>
        <v>0</v>
      </c>
      <c r="E21" s="3">
        <v>0</v>
      </c>
      <c r="F21" s="3">
        <f>-1416-F18</f>
        <v>0</v>
      </c>
      <c r="G21" s="3">
        <f>-35147-G18-1310</f>
        <v>-3459</v>
      </c>
      <c r="H21" s="6">
        <f>SUM(B21:G21)</f>
        <v>-3817</v>
      </c>
    </row>
    <row r="22" spans="1:8">
      <c r="A22" s="10" t="s">
        <v>14</v>
      </c>
      <c r="B22" s="3">
        <f>SUM(B23:B27)</f>
        <v>97270</v>
      </c>
      <c r="C22" s="3">
        <f t="shared" ref="C22:H22" si="8">SUM(C23:C27)</f>
        <v>221751</v>
      </c>
      <c r="D22" s="3">
        <f t="shared" si="8"/>
        <v>14202</v>
      </c>
      <c r="E22" s="3">
        <f t="shared" si="8"/>
        <v>0</v>
      </c>
      <c r="F22" s="3">
        <f t="shared" si="8"/>
        <v>0</v>
      </c>
      <c r="G22" s="3">
        <f t="shared" si="8"/>
        <v>53959</v>
      </c>
      <c r="H22" s="3">
        <f t="shared" si="8"/>
        <v>387182</v>
      </c>
    </row>
    <row r="23" spans="1:8">
      <c r="A23" s="5" t="s">
        <v>15</v>
      </c>
      <c r="B23" s="3">
        <f>20379-930</f>
        <v>19449</v>
      </c>
      <c r="C23" s="3">
        <f>198411-50352+50608</f>
        <v>198667</v>
      </c>
      <c r="D23" s="3">
        <v>1400</v>
      </c>
      <c r="E23" s="3">
        <v>0</v>
      </c>
      <c r="F23" s="8">
        <v>0</v>
      </c>
      <c r="G23" s="3">
        <f>44024-622</f>
        <v>43402</v>
      </c>
      <c r="H23" s="6">
        <f>SUM(B23:G23)</f>
        <v>262918</v>
      </c>
    </row>
    <row r="24" spans="1:8" ht="22.5">
      <c r="A24" s="5" t="s">
        <v>17</v>
      </c>
      <c r="B24" s="3">
        <f>51089+19860</f>
        <v>70949</v>
      </c>
      <c r="C24" s="3">
        <v>0</v>
      </c>
      <c r="D24" s="3">
        <v>0</v>
      </c>
      <c r="E24" s="3">
        <v>0</v>
      </c>
      <c r="F24" s="3">
        <v>0</v>
      </c>
      <c r="G24" s="3">
        <v>72</v>
      </c>
      <c r="H24" s="6">
        <f>SUM(B24:G24)</f>
        <v>71021</v>
      </c>
    </row>
    <row r="25" spans="1:8">
      <c r="A25" s="5" t="s">
        <v>16</v>
      </c>
      <c r="B25" s="3">
        <f>7284-516+1</f>
        <v>6769</v>
      </c>
      <c r="C25" s="8">
        <f>19045-323+6</f>
        <v>18728</v>
      </c>
      <c r="D25" s="3">
        <f>1468-95</f>
        <v>1373</v>
      </c>
      <c r="E25" s="3">
        <v>0</v>
      </c>
      <c r="F25" s="3">
        <v>0</v>
      </c>
      <c r="G25" s="3">
        <f>8007-387+2</f>
        <v>7622</v>
      </c>
      <c r="H25" s="6">
        <f>SUM(B25:G25)</f>
        <v>34492</v>
      </c>
    </row>
    <row r="26" spans="1:8">
      <c r="A26" s="5" t="s">
        <v>13</v>
      </c>
      <c r="B26" s="3">
        <f>19963-19860</f>
        <v>103</v>
      </c>
      <c r="C26" s="3">
        <f>53577+1387-50608</f>
        <v>4356</v>
      </c>
      <c r="D26" s="3">
        <f>10772+657</f>
        <v>11429</v>
      </c>
      <c r="E26" s="3">
        <v>0</v>
      </c>
      <c r="F26" s="3">
        <v>0</v>
      </c>
      <c r="G26" s="3">
        <f>1625+1310-72</f>
        <v>2863</v>
      </c>
      <c r="H26" s="6">
        <f>SUM(B26:G26)</f>
        <v>18751</v>
      </c>
    </row>
    <row r="27" spans="1:8" ht="22.5">
      <c r="A27" s="5" t="s">
        <v>23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6">
        <f>SUM(B27:G27)</f>
        <v>0</v>
      </c>
    </row>
    <row r="28" spans="1:8" ht="22.5">
      <c r="A28" s="10" t="s">
        <v>24</v>
      </c>
      <c r="B28" s="3">
        <f t="shared" ref="B28:H28" si="9">B16+B17+B22</f>
        <v>-967020</v>
      </c>
      <c r="C28" s="3">
        <f t="shared" si="9"/>
        <v>-1542479</v>
      </c>
      <c r="D28" s="3">
        <f t="shared" si="9"/>
        <v>-27199</v>
      </c>
      <c r="E28" s="3">
        <f t="shared" si="9"/>
        <v>0</v>
      </c>
      <c r="F28" s="3">
        <f t="shared" si="9"/>
        <v>-3096</v>
      </c>
      <c r="G28" s="3">
        <f t="shared" si="9"/>
        <v>-409229</v>
      </c>
      <c r="H28" s="3">
        <f t="shared" si="9"/>
        <v>-2949023</v>
      </c>
    </row>
    <row r="29" spans="1:8" ht="22.5">
      <c r="A29" s="10" t="s">
        <v>25</v>
      </c>
      <c r="B29" s="3">
        <v>-7447</v>
      </c>
      <c r="C29" s="3">
        <v>-109</v>
      </c>
      <c r="D29" s="3">
        <f t="shared" ref="D29:G29" si="10">D74</f>
        <v>0</v>
      </c>
      <c r="E29" s="3">
        <v>-4528</v>
      </c>
      <c r="F29" s="3">
        <f t="shared" si="10"/>
        <v>0</v>
      </c>
      <c r="G29" s="3">
        <f t="shared" si="10"/>
        <v>0</v>
      </c>
      <c r="H29" s="3">
        <f>SUM(B29:G29)</f>
        <v>-12084</v>
      </c>
    </row>
    <row r="30" spans="1:8">
      <c r="A30" s="10" t="s">
        <v>9</v>
      </c>
      <c r="B30" s="3">
        <f t="shared" ref="B30:H30" si="11">SUM(B31:B31)</f>
        <v>0</v>
      </c>
      <c r="C30" s="3">
        <f t="shared" si="11"/>
        <v>-4</v>
      </c>
      <c r="D30" s="3">
        <f t="shared" si="11"/>
        <v>0</v>
      </c>
      <c r="E30" s="3">
        <f t="shared" si="11"/>
        <v>-3189</v>
      </c>
      <c r="F30" s="3">
        <f t="shared" si="11"/>
        <v>0</v>
      </c>
      <c r="G30" s="3">
        <f t="shared" si="11"/>
        <v>0</v>
      </c>
      <c r="H30" s="3">
        <f t="shared" si="11"/>
        <v>-3193</v>
      </c>
    </row>
    <row r="31" spans="1:8">
      <c r="A31" s="5" t="s">
        <v>26</v>
      </c>
      <c r="B31" s="3">
        <v>0</v>
      </c>
      <c r="C31" s="3">
        <v>-4</v>
      </c>
      <c r="D31" s="3">
        <v>0</v>
      </c>
      <c r="E31" s="3">
        <v>-3189</v>
      </c>
      <c r="F31" s="3">
        <v>0</v>
      </c>
      <c r="G31" s="3">
        <v>0</v>
      </c>
      <c r="H31" s="6">
        <f>SUM(B31:G31)</f>
        <v>-3193</v>
      </c>
    </row>
    <row r="32" spans="1:8">
      <c r="A32" s="10" t="s">
        <v>14</v>
      </c>
      <c r="B32" s="3">
        <f>SUM(B33:B36)</f>
        <v>2936</v>
      </c>
      <c r="C32" s="3">
        <f t="shared" ref="C32:H32" si="12">SUM(C33:C36)</f>
        <v>4</v>
      </c>
      <c r="D32" s="3">
        <f t="shared" si="12"/>
        <v>0</v>
      </c>
      <c r="E32" s="3">
        <f t="shared" si="12"/>
        <v>2257</v>
      </c>
      <c r="F32" s="3">
        <f t="shared" si="12"/>
        <v>0</v>
      </c>
      <c r="G32" s="3">
        <f t="shared" si="12"/>
        <v>0</v>
      </c>
      <c r="H32" s="3">
        <f t="shared" si="12"/>
        <v>5197</v>
      </c>
    </row>
    <row r="33" spans="1:8">
      <c r="A33" s="11" t="s">
        <v>27</v>
      </c>
      <c r="B33" s="3">
        <f>2936-2920-16</f>
        <v>0</v>
      </c>
      <c r="C33" s="3">
        <f>4-4</f>
        <v>0</v>
      </c>
      <c r="D33" s="3">
        <v>0</v>
      </c>
      <c r="E33" s="3">
        <f>2257-2257</f>
        <v>0</v>
      </c>
      <c r="F33" s="3">
        <v>0</v>
      </c>
      <c r="G33" s="3">
        <v>0</v>
      </c>
      <c r="H33" s="3">
        <f>SUM(B33:G33)</f>
        <v>0</v>
      </c>
    </row>
    <row r="34" spans="1:8">
      <c r="A34" s="5" t="s">
        <v>28</v>
      </c>
      <c r="B34" s="3">
        <v>16</v>
      </c>
      <c r="C34" s="3">
        <v>4</v>
      </c>
      <c r="D34" s="3">
        <v>0</v>
      </c>
      <c r="E34" s="3">
        <v>0</v>
      </c>
      <c r="F34" s="3">
        <v>0</v>
      </c>
      <c r="G34" s="3">
        <v>0</v>
      </c>
      <c r="H34" s="3">
        <f>SUM(B34:G34)</f>
        <v>20</v>
      </c>
    </row>
    <row r="35" spans="1:8">
      <c r="A35" s="5" t="s">
        <v>16</v>
      </c>
      <c r="B35" s="3">
        <v>2920</v>
      </c>
      <c r="C35" s="3">
        <v>0</v>
      </c>
      <c r="D35" s="3">
        <v>0</v>
      </c>
      <c r="E35" s="3">
        <v>2257</v>
      </c>
      <c r="F35" s="3">
        <v>0</v>
      </c>
      <c r="G35" s="3">
        <v>0</v>
      </c>
      <c r="H35" s="3">
        <f>SUM(B35:G35)</f>
        <v>5177</v>
      </c>
    </row>
    <row r="36" spans="1:8">
      <c r="A36" s="5" t="s">
        <v>13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6">
        <f>SUM(B36:G36)</f>
        <v>0</v>
      </c>
    </row>
    <row r="37" spans="1:8" ht="22.5">
      <c r="A37" s="12" t="s">
        <v>29</v>
      </c>
      <c r="B37" s="13">
        <f t="shared" ref="B37:H37" si="13">B29+B30+B32</f>
        <v>-4511</v>
      </c>
      <c r="C37" s="13">
        <f t="shared" si="13"/>
        <v>-109</v>
      </c>
      <c r="D37" s="13">
        <f t="shared" si="13"/>
        <v>0</v>
      </c>
      <c r="E37" s="13">
        <f t="shared" si="13"/>
        <v>-5460</v>
      </c>
      <c r="F37" s="13">
        <f t="shared" si="13"/>
        <v>0</v>
      </c>
      <c r="G37" s="13">
        <f t="shared" si="13"/>
        <v>0</v>
      </c>
      <c r="H37" s="13">
        <f t="shared" si="13"/>
        <v>-10080</v>
      </c>
    </row>
    <row r="38" spans="1:8" ht="22.5">
      <c r="A38" s="14" t="s">
        <v>30</v>
      </c>
      <c r="B38" s="15">
        <f>B2+B16+B29</f>
        <v>1627309</v>
      </c>
      <c r="C38" s="15">
        <f t="shared" ref="C38:G38" si="14">C2+C16+C29</f>
        <v>497121</v>
      </c>
      <c r="D38" s="15">
        <f t="shared" si="14"/>
        <v>76003</v>
      </c>
      <c r="E38" s="15">
        <f t="shared" si="14"/>
        <v>140907</v>
      </c>
      <c r="F38" s="15">
        <f t="shared" si="14"/>
        <v>114589</v>
      </c>
      <c r="G38" s="15">
        <f t="shared" si="14"/>
        <v>155304</v>
      </c>
      <c r="H38" s="15">
        <f>SUM(B38:G38)</f>
        <v>2611233</v>
      </c>
    </row>
    <row r="39" spans="1:8" ht="22.5">
      <c r="A39" s="14" t="s">
        <v>31</v>
      </c>
      <c r="B39" s="15">
        <f t="shared" ref="B39:G39" si="15">B15+B28+B37</f>
        <v>1602761</v>
      </c>
      <c r="C39" s="15">
        <f t="shared" si="15"/>
        <v>499830</v>
      </c>
      <c r="D39" s="15">
        <f t="shared" si="15"/>
        <v>79573</v>
      </c>
      <c r="E39" s="15">
        <f t="shared" si="15"/>
        <v>165587</v>
      </c>
      <c r="F39" s="15">
        <f t="shared" si="15"/>
        <v>129693</v>
      </c>
      <c r="G39" s="15">
        <f t="shared" si="15"/>
        <v>176111</v>
      </c>
      <c r="H39" s="15">
        <f>SUM(B39:G39)</f>
        <v>2653555</v>
      </c>
    </row>
  </sheetData>
  <protectedRanges>
    <protectedRange sqref="B23:H27 H31 B37:H37 B36 H36 B32:H35 B5:H7 B19:H21 B9:H14" name="Rozstęp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dcterms:created xsi:type="dcterms:W3CDTF">2016-03-22T15:36:25Z</dcterms:created>
  <dcterms:modified xsi:type="dcterms:W3CDTF">2016-03-22T15:37:16Z</dcterms:modified>
</cp:coreProperties>
</file>